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67" i="1"/>
  <c r="M60"/>
  <c r="O60" s="1"/>
  <c r="O45"/>
  <c r="O44"/>
  <c r="M45"/>
  <c r="M44"/>
  <c r="M28"/>
  <c r="O28"/>
  <c r="M59"/>
  <c r="O59" s="1"/>
  <c r="O58"/>
  <c r="O57"/>
  <c r="M63"/>
  <c r="O63" s="1"/>
  <c r="M62"/>
  <c r="O62" s="1"/>
  <c r="M61"/>
  <c r="O61" s="1"/>
  <c r="M56"/>
  <c r="O56" s="1"/>
  <c r="F55"/>
  <c r="M55" s="1"/>
  <c r="O55" s="1"/>
  <c r="O42"/>
  <c r="O41"/>
  <c r="M47"/>
  <c r="O47" s="1"/>
  <c r="M46"/>
  <c r="O46" s="1"/>
  <c r="M43"/>
  <c r="O43" s="1"/>
  <c r="M40"/>
  <c r="O40" s="1"/>
  <c r="F39"/>
  <c r="F48" s="1"/>
  <c r="O29"/>
  <c r="O27"/>
  <c r="M29"/>
  <c r="M31"/>
  <c r="M30"/>
  <c r="O30" s="1"/>
  <c r="F26"/>
  <c r="M26" s="1"/>
  <c r="O26" s="1"/>
  <c r="F18"/>
  <c r="M11"/>
  <c r="O11" s="1"/>
  <c r="K144"/>
  <c r="M12"/>
  <c r="O12" s="1"/>
  <c r="K138"/>
  <c r="G137"/>
  <c r="I137" s="1"/>
  <c r="G136"/>
  <c r="I136" s="1"/>
  <c r="G135"/>
  <c r="I135" s="1"/>
  <c r="G134"/>
  <c r="I134" s="1"/>
  <c r="G129"/>
  <c r="I129" s="1"/>
  <c r="G128"/>
  <c r="I128" s="1"/>
  <c r="G127"/>
  <c r="I127" s="1"/>
  <c r="G126"/>
  <c r="I126" s="1"/>
  <c r="G125"/>
  <c r="I125" s="1"/>
  <c r="G124"/>
  <c r="I124" s="1"/>
  <c r="G123"/>
  <c r="I123" s="1"/>
  <c r="G122"/>
  <c r="I122" s="1"/>
  <c r="G121"/>
  <c r="I121" s="1"/>
  <c r="G120"/>
  <c r="I120" s="1"/>
  <c r="G119"/>
  <c r="I119" s="1"/>
  <c r="G118"/>
  <c r="I118" s="1"/>
  <c r="G117"/>
  <c r="I117" s="1"/>
  <c r="G116"/>
  <c r="I116" s="1"/>
  <c r="F130"/>
  <c r="G130" s="1"/>
  <c r="I130" s="1"/>
  <c r="F15"/>
  <c r="F78"/>
  <c r="F76"/>
  <c r="F10"/>
  <c r="M10" s="1"/>
  <c r="O10" s="1"/>
  <c r="F9"/>
  <c r="M9" s="1"/>
  <c r="O9" s="1"/>
  <c r="F108"/>
  <c r="I101" s="1"/>
  <c r="F87"/>
  <c r="I86" s="1"/>
  <c r="M74"/>
  <c r="M73"/>
  <c r="F64" l="1"/>
  <c r="M39"/>
  <c r="O39" s="1"/>
  <c r="M64"/>
  <c r="O64"/>
  <c r="F32"/>
  <c r="F13"/>
  <c r="O31"/>
  <c r="M32"/>
  <c r="M75"/>
  <c r="O75" s="1"/>
  <c r="K15"/>
  <c r="M15" s="1"/>
  <c r="O15" s="1"/>
  <c r="M13"/>
  <c r="O13" s="1"/>
  <c r="M48" l="1"/>
  <c r="O48"/>
  <c r="O32"/>
  <c r="M18"/>
  <c r="Q75"/>
  <c r="O18"/>
</calcChain>
</file>

<file path=xl/sharedStrings.xml><?xml version="1.0" encoding="utf-8"?>
<sst xmlns="http://schemas.openxmlformats.org/spreadsheetml/2006/main" count="163" uniqueCount="114">
  <si>
    <t>31 March 2020</t>
  </si>
  <si>
    <t>Peter Thyer</t>
  </si>
  <si>
    <t>Numbers for doing estimates, approx mid 1st Quarter 2020:</t>
  </si>
  <si>
    <t xml:space="preserve">Australian population </t>
  </si>
  <si>
    <t>Age</t>
  </si>
  <si>
    <t>plus</t>
  </si>
  <si>
    <t>Total Sep 2019</t>
  </si>
  <si>
    <t>Approx</t>
  </si>
  <si>
    <t>1/5</t>
  </si>
  <si>
    <t>4/5</t>
  </si>
  <si>
    <t>Weekly</t>
  </si>
  <si>
    <t>total</t>
  </si>
  <si>
    <t>per week</t>
  </si>
  <si>
    <t>Average weekly earnings</t>
  </si>
  <si>
    <t>(Full time employees)</t>
  </si>
  <si>
    <t>2019 employed</t>
  </si>
  <si>
    <t>approx</t>
  </si>
  <si>
    <t>Full-time</t>
  </si>
  <si>
    <t>Part-time</t>
  </si>
  <si>
    <t>$</t>
  </si>
  <si>
    <t>Weekly Earnings</t>
  </si>
  <si>
    <t>say 1/4 of full-time earnings</t>
  </si>
  <si>
    <t>4 x weeks</t>
  </si>
  <si>
    <t>13 x weeks</t>
  </si>
  <si>
    <t>3 Months</t>
  </si>
  <si>
    <t>Number of welfare recipients</t>
  </si>
  <si>
    <t>15 and under</t>
  </si>
  <si>
    <t>16 and over</t>
  </si>
  <si>
    <t>Unemployed job seekers</t>
  </si>
  <si>
    <t>(includes unemployed job seekers)</t>
  </si>
  <si>
    <t>45% of population</t>
  </si>
  <si>
    <t>Additional funding for Univsl payment</t>
  </si>
  <si>
    <t>Total social welfare cost 2019 -2020 budgetted to be</t>
  </si>
  <si>
    <t>190 Billion</t>
  </si>
  <si>
    <t>Existing welfare payments av</t>
  </si>
  <si>
    <t>Shopping basket</t>
  </si>
  <si>
    <t>Food and non-alcoholic beverages</t>
  </si>
  <si>
    <t>Alcohol and tobacco</t>
  </si>
  <si>
    <t>Clothing and footwear</t>
  </si>
  <si>
    <t>Housing</t>
  </si>
  <si>
    <t>Furnishings, household equipment and services</t>
  </si>
  <si>
    <t>Health</t>
  </si>
  <si>
    <t>Transport</t>
  </si>
  <si>
    <t>Communication</t>
  </si>
  <si>
    <t>Recreation and Culture</t>
  </si>
  <si>
    <t>Education</t>
  </si>
  <si>
    <t>Insurance and financial services</t>
  </si>
  <si>
    <t>domestic fuel and power</t>
  </si>
  <si>
    <t>housing services and operation</t>
  </si>
  <si>
    <t>Personal care</t>
  </si>
  <si>
    <t>Miscellaneous goods and services</t>
  </si>
  <si>
    <t>Income tax</t>
  </si>
  <si>
    <t>Mortgage Principal payments</t>
  </si>
  <si>
    <t>Other capital housing costs</t>
  </si>
  <si>
    <t>Superanuation and life insurance</t>
  </si>
  <si>
    <t>2015-2016</t>
  </si>
  <si>
    <t>CPI June 2015 to Dec 2019</t>
  </si>
  <si>
    <t>Plus 8.09%</t>
  </si>
  <si>
    <t>Average household size is 2.53</t>
  </si>
  <si>
    <t>?</t>
  </si>
  <si>
    <t>Div by 2 to give approx pp costs</t>
  </si>
  <si>
    <t>need for essntl temp costs</t>
  </si>
  <si>
    <t>no</t>
  </si>
  <si>
    <t>free</t>
  </si>
  <si>
    <t>Per week per adult</t>
  </si>
  <si>
    <t>Temporary visa holders</t>
  </si>
  <si>
    <t>Utilities</t>
  </si>
  <si>
    <t>Accouts</t>
  </si>
  <si>
    <t>80 mi</t>
  </si>
  <si>
    <t>av bill</t>
  </si>
  <si>
    <t>red</t>
  </si>
  <si>
    <t>Others tourists etc</t>
  </si>
  <si>
    <t>already recieving welfare, estimate average $317 per week</t>
  </si>
  <si>
    <t>2020 Welfare budget $190 b</t>
  </si>
  <si>
    <t>3 months ie 1/4</t>
  </si>
  <si>
    <t>Crisis</t>
  </si>
  <si>
    <t>Stipend</t>
  </si>
  <si>
    <t>Crisis Stipend</t>
  </si>
  <si>
    <t>Return to Welfare payments to live on</t>
  </si>
  <si>
    <t>allowance</t>
  </si>
  <si>
    <t>Other adults</t>
  </si>
  <si>
    <t>Recovery Allowance 1</t>
  </si>
  <si>
    <t>Recovery Allowance 2</t>
  </si>
  <si>
    <t>1 month (4 weeks)</t>
  </si>
  <si>
    <t>2 months (9 weeks)</t>
  </si>
  <si>
    <t>9 x weeks</t>
  </si>
  <si>
    <t>Jobs guaranteed by public service</t>
  </si>
  <si>
    <t>large corp etc</t>
  </si>
  <si>
    <t>Working permits extended to all</t>
  </si>
  <si>
    <t>Allow to work, To use own savings</t>
  </si>
  <si>
    <t>July</t>
  </si>
  <si>
    <t>Aug &amp; September</t>
  </si>
  <si>
    <t>Recovery Allowance 3</t>
  </si>
  <si>
    <t>3 months</t>
  </si>
  <si>
    <t>Oct, Nov &amp; Dec</t>
  </si>
  <si>
    <t>Recovery Plans July to Dec 2020, 6 months</t>
  </si>
  <si>
    <t>Adults with paid work to live on</t>
  </si>
  <si>
    <t>Adult work seekers, 1 per hshld</t>
  </si>
  <si>
    <t>Self funded retirees etc</t>
  </si>
  <si>
    <t>Supported adults</t>
  </si>
  <si>
    <t>9 b pm</t>
  </si>
  <si>
    <t>8 b pm</t>
  </si>
  <si>
    <t>Adults -Return to Welfare sufficient to live on</t>
  </si>
  <si>
    <t>Children 15 yrs and under</t>
  </si>
  <si>
    <t>Adults return to paid work sufficient to live on</t>
  </si>
  <si>
    <t>Others - tourists etc</t>
  </si>
  <si>
    <t>Total</t>
  </si>
  <si>
    <t>16 b pm</t>
  </si>
  <si>
    <t xml:space="preserve">total </t>
  </si>
  <si>
    <t>Time Slip Economic Plan</t>
  </si>
  <si>
    <t>v. 5 April</t>
  </si>
  <si>
    <t>Population</t>
  </si>
  <si>
    <t>ABS</t>
  </si>
  <si>
    <t>Working document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</si>
</sst>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43" formatCode="_-* #,##0.00_-;\-* #,##0.00_-;_-* &quot;-&quot;??_-;_-@_-"/>
    <numFmt numFmtId="164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9" fontId="0" fillId="0" borderId="0" xfId="0" applyNumberFormat="1"/>
    <xf numFmtId="3" fontId="0" fillId="0" borderId="0" xfId="0" applyNumberFormat="1"/>
    <xf numFmtId="6" fontId="0" fillId="0" borderId="0" xfId="0" applyNumberFormat="1"/>
    <xf numFmtId="10" fontId="0" fillId="0" borderId="0" xfId="0" applyNumberFormat="1"/>
    <xf numFmtId="17" fontId="0" fillId="0" borderId="0" xfId="0" applyNumberFormat="1"/>
    <xf numFmtId="164" fontId="0" fillId="0" borderId="0" xfId="1" applyNumberFormat="1" applyFont="1"/>
    <xf numFmtId="9" fontId="0" fillId="0" borderId="0" xfId="0" applyNumberFormat="1"/>
    <xf numFmtId="4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1" fontId="2" fillId="0" borderId="0" xfId="0" applyNumberFormat="1" applyFont="1"/>
    <xf numFmtId="0" fontId="3" fillId="0" borderId="0" xfId="0" applyFont="1"/>
    <xf numFmtId="43" fontId="2" fillId="0" borderId="0" xfId="0" applyNumberFormat="1" applyFont="1"/>
    <xf numFmtId="164" fontId="3" fillId="0" borderId="0" xfId="0" applyNumberFormat="1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148"/>
  <sheetViews>
    <sheetView tabSelected="1" zoomScale="90" zoomScaleNormal="90" workbookViewId="0">
      <selection activeCell="B5" sqref="B5"/>
    </sheetView>
  </sheetViews>
  <sheetFormatPr defaultRowHeight="15"/>
  <cols>
    <col min="2" max="2" width="18.28515625" customWidth="1"/>
    <col min="6" max="6" width="17.7109375" customWidth="1"/>
    <col min="11" max="11" width="15.5703125" customWidth="1"/>
    <col min="13" max="13" width="21.85546875" customWidth="1"/>
    <col min="15" max="15" width="21.42578125" customWidth="1"/>
    <col min="17" max="17" width="20.7109375" customWidth="1"/>
  </cols>
  <sheetData>
    <row r="2" spans="1:19" ht="23.25">
      <c r="B2" s="22" t="s">
        <v>109</v>
      </c>
    </row>
    <row r="3" spans="1:19">
      <c r="B3" s="1" t="s">
        <v>0</v>
      </c>
      <c r="C3" t="s">
        <v>110</v>
      </c>
      <c r="F3" t="s">
        <v>113</v>
      </c>
    </row>
    <row r="4" spans="1:19">
      <c r="B4" t="s">
        <v>1</v>
      </c>
    </row>
    <row r="5" spans="1:19">
      <c r="K5" t="s">
        <v>10</v>
      </c>
      <c r="M5" t="s">
        <v>11</v>
      </c>
      <c r="O5" t="s">
        <v>24</v>
      </c>
    </row>
    <row r="6" spans="1:19">
      <c r="A6" t="s">
        <v>77</v>
      </c>
      <c r="K6" t="s">
        <v>75</v>
      </c>
      <c r="M6" t="s">
        <v>12</v>
      </c>
      <c r="O6" t="s">
        <v>23</v>
      </c>
    </row>
    <row r="7" spans="1:19">
      <c r="B7" t="s">
        <v>2</v>
      </c>
      <c r="K7" t="s">
        <v>76</v>
      </c>
    </row>
    <row r="8" spans="1:19">
      <c r="B8" t="s">
        <v>3</v>
      </c>
      <c r="F8" s="2">
        <v>25600000</v>
      </c>
    </row>
    <row r="9" spans="1:19">
      <c r="B9" t="s">
        <v>26</v>
      </c>
      <c r="F9" s="2">
        <f>(F8/100)*20</f>
        <v>5120000</v>
      </c>
      <c r="H9" s="1" t="s">
        <v>8</v>
      </c>
      <c r="K9">
        <v>100</v>
      </c>
      <c r="M9" s="6">
        <f>F9*K9</f>
        <v>512000000</v>
      </c>
      <c r="O9" s="11">
        <f>M9*13</f>
        <v>6656000000</v>
      </c>
    </row>
    <row r="10" spans="1:19">
      <c r="B10" t="s">
        <v>27</v>
      </c>
      <c r="F10" s="2">
        <f>(F8/100)*80</f>
        <v>20480000</v>
      </c>
      <c r="H10" s="1" t="s">
        <v>9</v>
      </c>
      <c r="K10">
        <v>250</v>
      </c>
      <c r="M10" s="6">
        <f>F10*K10</f>
        <v>5120000000</v>
      </c>
      <c r="O10" s="11">
        <f>M10*13</f>
        <v>66560000000</v>
      </c>
    </row>
    <row r="11" spans="1:19">
      <c r="B11" t="s">
        <v>71</v>
      </c>
      <c r="F11" s="2">
        <v>200000</v>
      </c>
      <c r="H11" s="1"/>
      <c r="K11">
        <v>250</v>
      </c>
      <c r="M11" s="6">
        <f>F11*K11</f>
        <v>50000000</v>
      </c>
      <c r="O11" s="11">
        <f>M11*13</f>
        <v>650000000</v>
      </c>
    </row>
    <row r="12" spans="1:19">
      <c r="B12" t="s">
        <v>65</v>
      </c>
      <c r="F12" s="2">
        <v>1100000</v>
      </c>
      <c r="H12" s="1"/>
      <c r="K12">
        <v>250</v>
      </c>
      <c r="M12" s="6">
        <f>F12*K12</f>
        <v>275000000</v>
      </c>
      <c r="O12" s="11">
        <f>M12*13</f>
        <v>3575000000</v>
      </c>
    </row>
    <row r="13" spans="1:19">
      <c r="F13" s="2">
        <f>SUM(F9:F12)</f>
        <v>26900000</v>
      </c>
      <c r="M13" s="15">
        <f>SUM(M9:M12)</f>
        <v>5957000000</v>
      </c>
      <c r="O13" s="11">
        <f>M13*13</f>
        <v>77441000000</v>
      </c>
      <c r="S13" s="16"/>
    </row>
    <row r="14" spans="1:19">
      <c r="M14" s="15"/>
      <c r="O14" s="11"/>
    </row>
    <row r="15" spans="1:19">
      <c r="B15" t="s">
        <v>30</v>
      </c>
      <c r="F15" s="2">
        <f>(F8/100)*45</f>
        <v>11520000</v>
      </c>
      <c r="H15" t="s">
        <v>34</v>
      </c>
      <c r="K15" s="14">
        <f>(K79/F15)/52</f>
        <v>317.17414529914527</v>
      </c>
      <c r="M15" s="6">
        <f>F15*K15</f>
        <v>3653846153.8461533</v>
      </c>
      <c r="O15" s="11">
        <f>M15*13</f>
        <v>47499999999.999992</v>
      </c>
    </row>
    <row r="16" spans="1:19">
      <c r="B16" t="s">
        <v>72</v>
      </c>
      <c r="F16" s="2"/>
      <c r="M16" s="15"/>
      <c r="O16" s="11"/>
    </row>
    <row r="17" spans="1:19">
      <c r="B17" t="s">
        <v>73</v>
      </c>
      <c r="E17" t="s">
        <v>19</v>
      </c>
      <c r="F17" s="2">
        <v>190000000000</v>
      </c>
      <c r="O17" s="11"/>
    </row>
    <row r="18" spans="1:19" ht="18.75">
      <c r="B18" t="s">
        <v>74</v>
      </c>
      <c r="F18" s="15">
        <f>F17/4</f>
        <v>47500000000</v>
      </c>
      <c r="H18" t="s">
        <v>31</v>
      </c>
      <c r="M18" s="15">
        <f>M13-M15</f>
        <v>2303153846.1538467</v>
      </c>
      <c r="O18" s="21">
        <f>M18*13</f>
        <v>29941000000.000008</v>
      </c>
      <c r="S18" s="20"/>
    </row>
    <row r="19" spans="1:19">
      <c r="F19" s="2"/>
      <c r="M19" s="15"/>
      <c r="O19" s="11"/>
      <c r="Q19" s="11"/>
    </row>
    <row r="20" spans="1:19">
      <c r="F20" s="2"/>
      <c r="M20" s="15"/>
      <c r="O20" s="11"/>
      <c r="Q20" s="11"/>
    </row>
    <row r="21" spans="1:19">
      <c r="F21" s="2"/>
      <c r="M21" s="15"/>
      <c r="O21" s="11"/>
      <c r="Q21" s="11"/>
    </row>
    <row r="22" spans="1:19">
      <c r="K22" t="s">
        <v>10</v>
      </c>
      <c r="M22" t="s">
        <v>11</v>
      </c>
    </row>
    <row r="23" spans="1:19">
      <c r="A23" t="s">
        <v>81</v>
      </c>
      <c r="D23" t="s">
        <v>83</v>
      </c>
      <c r="F23" t="s">
        <v>90</v>
      </c>
      <c r="K23" t="s">
        <v>79</v>
      </c>
      <c r="M23" t="s">
        <v>12</v>
      </c>
      <c r="O23" t="s">
        <v>22</v>
      </c>
    </row>
    <row r="24" spans="1:19">
      <c r="B24" t="s">
        <v>2</v>
      </c>
    </row>
    <row r="25" spans="1:19">
      <c r="B25" t="s">
        <v>3</v>
      </c>
      <c r="F25" s="2">
        <v>25600000</v>
      </c>
    </row>
    <row r="26" spans="1:19">
      <c r="B26" t="s">
        <v>103</v>
      </c>
      <c r="F26" s="2">
        <f>(F25/100)*20</f>
        <v>5120000</v>
      </c>
      <c r="H26" s="1"/>
      <c r="K26">
        <v>100</v>
      </c>
      <c r="M26" s="6">
        <f>F26*K26</f>
        <v>512000000</v>
      </c>
      <c r="O26" s="11">
        <f t="shared" ref="O26:O31" si="0">M26*4</f>
        <v>2048000000</v>
      </c>
      <c r="Q26" s="11"/>
    </row>
    <row r="27" spans="1:19">
      <c r="B27" t="s">
        <v>102</v>
      </c>
      <c r="F27" s="2">
        <v>8000000</v>
      </c>
      <c r="H27" s="1" t="s">
        <v>87</v>
      </c>
      <c r="K27">
        <v>0</v>
      </c>
      <c r="M27" s="6">
        <v>0</v>
      </c>
      <c r="O27" s="11">
        <f t="shared" si="0"/>
        <v>0</v>
      </c>
      <c r="Q27" s="11"/>
    </row>
    <row r="28" spans="1:19">
      <c r="B28" t="s">
        <v>104</v>
      </c>
      <c r="F28" s="2">
        <v>4000000</v>
      </c>
      <c r="G28" t="s">
        <v>86</v>
      </c>
      <c r="H28" s="1"/>
      <c r="K28">
        <v>250</v>
      </c>
      <c r="M28" s="6">
        <f>F28*K28</f>
        <v>1000000000</v>
      </c>
      <c r="O28" s="11">
        <f t="shared" si="0"/>
        <v>4000000000</v>
      </c>
      <c r="Q28" s="11"/>
    </row>
    <row r="29" spans="1:19">
      <c r="B29" t="s">
        <v>80</v>
      </c>
      <c r="F29" s="2">
        <v>8480000</v>
      </c>
      <c r="H29" s="1"/>
      <c r="K29">
        <v>250</v>
      </c>
      <c r="M29" s="6">
        <f>F29*K29</f>
        <v>2120000000</v>
      </c>
      <c r="O29" s="11">
        <f t="shared" si="0"/>
        <v>8480000000</v>
      </c>
      <c r="Q29" s="11"/>
    </row>
    <row r="30" spans="1:19">
      <c r="B30" t="s">
        <v>105</v>
      </c>
      <c r="F30" s="2">
        <v>200000</v>
      </c>
      <c r="H30" s="1"/>
      <c r="K30">
        <v>250</v>
      </c>
      <c r="M30" s="6">
        <f>F30*K30</f>
        <v>50000000</v>
      </c>
      <c r="O30" s="11">
        <f t="shared" si="0"/>
        <v>200000000</v>
      </c>
      <c r="Q30" s="11"/>
    </row>
    <row r="31" spans="1:19">
      <c r="B31" t="s">
        <v>65</v>
      </c>
      <c r="F31" s="2">
        <v>1100000</v>
      </c>
      <c r="H31" s="1"/>
      <c r="K31">
        <v>250</v>
      </c>
      <c r="M31" s="6">
        <f>F31*K31</f>
        <v>275000000</v>
      </c>
      <c r="O31" s="11">
        <f t="shared" si="0"/>
        <v>1100000000</v>
      </c>
      <c r="Q31" s="11"/>
    </row>
    <row r="32" spans="1:19" ht="18.75">
      <c r="B32" t="s">
        <v>106</v>
      </c>
      <c r="F32" s="2">
        <f>SUM(F26:F31)</f>
        <v>26900000</v>
      </c>
      <c r="M32" s="15">
        <f>SUM(M26:M31)</f>
        <v>3957000000</v>
      </c>
      <c r="O32" s="21">
        <f>SUM(O26:O31)</f>
        <v>15828000000</v>
      </c>
      <c r="Q32" s="11" t="s">
        <v>107</v>
      </c>
      <c r="S32" s="16"/>
    </row>
    <row r="33" spans="1:19">
      <c r="F33" s="2"/>
      <c r="M33" s="15"/>
      <c r="O33" s="11"/>
      <c r="Q33" s="11"/>
    </row>
    <row r="34" spans="1:19">
      <c r="F34" s="2"/>
      <c r="M34" s="15"/>
      <c r="O34" s="11"/>
      <c r="Q34" s="11"/>
    </row>
    <row r="35" spans="1:19">
      <c r="K35" t="s">
        <v>10</v>
      </c>
      <c r="M35" t="s">
        <v>11</v>
      </c>
    </row>
    <row r="36" spans="1:19">
      <c r="A36" t="s">
        <v>82</v>
      </c>
      <c r="D36" t="s">
        <v>84</v>
      </c>
      <c r="F36" t="s">
        <v>91</v>
      </c>
      <c r="K36" t="s">
        <v>79</v>
      </c>
      <c r="M36" t="s">
        <v>12</v>
      </c>
      <c r="O36" t="s">
        <v>85</v>
      </c>
    </row>
    <row r="37" spans="1:19">
      <c r="B37" t="s">
        <v>2</v>
      </c>
    </row>
    <row r="38" spans="1:19">
      <c r="B38" t="s">
        <v>3</v>
      </c>
      <c r="F38" s="2">
        <v>25600000</v>
      </c>
    </row>
    <row r="39" spans="1:19">
      <c r="B39" t="s">
        <v>26</v>
      </c>
      <c r="F39" s="2">
        <f>(F38/100)*20</f>
        <v>5120000</v>
      </c>
      <c r="H39" s="1"/>
      <c r="K39">
        <v>50</v>
      </c>
      <c r="M39" s="6">
        <f>F39*K39</f>
        <v>256000000</v>
      </c>
      <c r="O39" s="11">
        <f>M39*9</f>
        <v>2304000000</v>
      </c>
      <c r="Q39" s="11"/>
    </row>
    <row r="40" spans="1:19">
      <c r="B40" t="s">
        <v>27</v>
      </c>
      <c r="F40" s="2"/>
      <c r="H40" s="1"/>
      <c r="K40">
        <v>0</v>
      </c>
      <c r="M40" s="6">
        <f>F40*K40</f>
        <v>0</v>
      </c>
      <c r="O40" s="11">
        <f t="shared" ref="O40:O47" si="1">M40*9</f>
        <v>0</v>
      </c>
      <c r="Q40" s="11"/>
    </row>
    <row r="41" spans="1:19">
      <c r="B41" t="s">
        <v>78</v>
      </c>
      <c r="F41" s="2">
        <v>8000000</v>
      </c>
      <c r="H41" s="1"/>
      <c r="K41">
        <v>0</v>
      </c>
      <c r="M41" s="6"/>
      <c r="O41" s="11">
        <f t="shared" si="1"/>
        <v>0</v>
      </c>
      <c r="Q41" s="11"/>
    </row>
    <row r="42" spans="1:19">
      <c r="B42" t="s">
        <v>96</v>
      </c>
      <c r="F42" s="2">
        <v>5000000</v>
      </c>
      <c r="H42" s="1"/>
      <c r="K42">
        <v>0</v>
      </c>
      <c r="M42" s="6"/>
      <c r="O42" s="11">
        <f t="shared" si="1"/>
        <v>0</v>
      </c>
      <c r="Q42" s="11"/>
    </row>
    <row r="43" spans="1:19">
      <c r="B43" t="s">
        <v>97</v>
      </c>
      <c r="F43" s="2">
        <v>3000000</v>
      </c>
      <c r="H43" s="1"/>
      <c r="K43">
        <v>500</v>
      </c>
      <c r="M43" s="6">
        <f>F43*K43</f>
        <v>1500000000</v>
      </c>
      <c r="O43" s="11">
        <f t="shared" si="1"/>
        <v>13500000000</v>
      </c>
      <c r="Q43" s="11"/>
    </row>
    <row r="44" spans="1:19">
      <c r="B44" t="s">
        <v>98</v>
      </c>
      <c r="F44" s="2">
        <v>1000000</v>
      </c>
      <c r="H44" s="1"/>
      <c r="K44">
        <v>200</v>
      </c>
      <c r="M44" s="6">
        <f t="shared" ref="M44:M45" si="2">F44*K44</f>
        <v>200000000</v>
      </c>
      <c r="O44" s="11">
        <f t="shared" si="1"/>
        <v>1800000000</v>
      </c>
      <c r="Q44" s="11"/>
    </row>
    <row r="45" spans="1:19">
      <c r="B45" t="s">
        <v>99</v>
      </c>
      <c r="F45" s="2">
        <v>3480000</v>
      </c>
      <c r="H45" s="1"/>
      <c r="K45">
        <v>0</v>
      </c>
      <c r="M45" s="6">
        <f t="shared" si="2"/>
        <v>0</v>
      </c>
      <c r="O45" s="11">
        <f t="shared" si="1"/>
        <v>0</v>
      </c>
      <c r="Q45" s="11"/>
    </row>
    <row r="46" spans="1:19">
      <c r="B46" t="s">
        <v>71</v>
      </c>
      <c r="F46" s="2">
        <v>200000</v>
      </c>
      <c r="G46" t="s">
        <v>89</v>
      </c>
      <c r="H46" s="1"/>
      <c r="K46">
        <v>100</v>
      </c>
      <c r="M46" s="6">
        <f>F46*K46</f>
        <v>20000000</v>
      </c>
      <c r="O46" s="11">
        <f t="shared" si="1"/>
        <v>180000000</v>
      </c>
      <c r="Q46" s="11"/>
    </row>
    <row r="47" spans="1:19">
      <c r="B47" t="s">
        <v>65</v>
      </c>
      <c r="F47" s="2">
        <v>1100000</v>
      </c>
      <c r="G47" t="s">
        <v>88</v>
      </c>
      <c r="H47" s="1"/>
      <c r="K47">
        <v>200</v>
      </c>
      <c r="M47" s="6">
        <f>F47*K47</f>
        <v>220000000</v>
      </c>
      <c r="O47" s="11">
        <f t="shared" si="1"/>
        <v>1980000000</v>
      </c>
      <c r="Q47" s="11"/>
    </row>
    <row r="48" spans="1:19" ht="18.75">
      <c r="B48" t="s">
        <v>108</v>
      </c>
      <c r="F48" s="2">
        <f>SUM(F39:F47)</f>
        <v>26900000</v>
      </c>
      <c r="M48" s="15">
        <f>SUM(M39:M47)</f>
        <v>2196000000</v>
      </c>
      <c r="O48" s="21">
        <f>SUM(O39:O47)</f>
        <v>19764000000</v>
      </c>
      <c r="Q48" s="11" t="s">
        <v>100</v>
      </c>
      <c r="S48" s="16"/>
    </row>
    <row r="49" spans="1:19">
      <c r="F49" s="2"/>
      <c r="M49" s="15"/>
      <c r="O49" s="11"/>
      <c r="Q49" s="11"/>
    </row>
    <row r="50" spans="1:19">
      <c r="F50" s="2"/>
      <c r="M50" s="15"/>
      <c r="O50" s="11"/>
      <c r="Q50" s="11"/>
    </row>
    <row r="51" spans="1:19">
      <c r="K51" t="s">
        <v>10</v>
      </c>
      <c r="M51" t="s">
        <v>11</v>
      </c>
    </row>
    <row r="52" spans="1:19">
      <c r="A52" t="s">
        <v>92</v>
      </c>
      <c r="D52" t="s">
        <v>93</v>
      </c>
      <c r="F52" t="s">
        <v>94</v>
      </c>
      <c r="K52" t="s">
        <v>79</v>
      </c>
      <c r="M52" t="s">
        <v>12</v>
      </c>
      <c r="O52" t="s">
        <v>23</v>
      </c>
    </row>
    <row r="53" spans="1:19">
      <c r="B53" t="s">
        <v>2</v>
      </c>
    </row>
    <row r="54" spans="1:19">
      <c r="B54" t="s">
        <v>3</v>
      </c>
      <c r="F54" s="2">
        <v>25600000</v>
      </c>
    </row>
    <row r="55" spans="1:19">
      <c r="B55" t="s">
        <v>26</v>
      </c>
      <c r="F55" s="2">
        <f>(F54/100)*20</f>
        <v>5120000</v>
      </c>
      <c r="H55" s="1"/>
      <c r="K55">
        <v>50</v>
      </c>
      <c r="M55" s="6">
        <f>F55*K55</f>
        <v>256000000</v>
      </c>
      <c r="O55" s="11">
        <f>M55*13</f>
        <v>3328000000</v>
      </c>
      <c r="Q55" s="11"/>
    </row>
    <row r="56" spans="1:19">
      <c r="B56" t="s">
        <v>27</v>
      </c>
      <c r="F56" s="2"/>
      <c r="H56" s="1"/>
      <c r="K56">
        <v>0</v>
      </c>
      <c r="M56" s="6">
        <f>F56*K56</f>
        <v>0</v>
      </c>
      <c r="O56" s="11">
        <f t="shared" ref="O56:O63" si="3">M56*13</f>
        <v>0</v>
      </c>
      <c r="Q56" s="11"/>
    </row>
    <row r="57" spans="1:19">
      <c r="B57" t="s">
        <v>78</v>
      </c>
      <c r="F57" s="2">
        <v>8000000</v>
      </c>
      <c r="H57" s="1"/>
      <c r="K57">
        <v>0</v>
      </c>
      <c r="M57" s="6"/>
      <c r="O57" s="11">
        <f t="shared" si="3"/>
        <v>0</v>
      </c>
      <c r="Q57" s="11"/>
    </row>
    <row r="58" spans="1:19">
      <c r="B58" t="s">
        <v>96</v>
      </c>
      <c r="F58" s="2">
        <v>6000000</v>
      </c>
      <c r="H58" s="1"/>
      <c r="K58">
        <v>0</v>
      </c>
      <c r="M58" s="6"/>
      <c r="O58" s="11">
        <f t="shared" si="3"/>
        <v>0</v>
      </c>
      <c r="Q58" s="11"/>
    </row>
    <row r="59" spans="1:19">
      <c r="B59" t="s">
        <v>97</v>
      </c>
      <c r="F59" s="2">
        <v>2000000</v>
      </c>
      <c r="H59" s="1"/>
      <c r="K59">
        <v>700</v>
      </c>
      <c r="M59" s="6">
        <f>F59*K59</f>
        <v>1400000000</v>
      </c>
      <c r="O59" s="11">
        <f>M59*13</f>
        <v>18200000000</v>
      </c>
      <c r="Q59" s="11"/>
    </row>
    <row r="60" spans="1:19">
      <c r="B60" t="s">
        <v>98</v>
      </c>
      <c r="F60" s="2">
        <v>1000000</v>
      </c>
      <c r="H60" s="1"/>
      <c r="K60">
        <v>200</v>
      </c>
      <c r="M60" s="6">
        <f>F60*K60</f>
        <v>200000000</v>
      </c>
      <c r="O60" s="11">
        <f>M60*13</f>
        <v>2600000000</v>
      </c>
      <c r="Q60" s="11"/>
    </row>
    <row r="61" spans="1:19">
      <c r="B61" t="s">
        <v>99</v>
      </c>
      <c r="F61" s="2">
        <v>3480000</v>
      </c>
      <c r="H61" s="1"/>
      <c r="K61">
        <v>0</v>
      </c>
      <c r="M61" s="6">
        <f>F61*K61</f>
        <v>0</v>
      </c>
      <c r="O61" s="11">
        <f t="shared" si="3"/>
        <v>0</v>
      </c>
      <c r="Q61" s="11"/>
    </row>
    <row r="62" spans="1:19">
      <c r="B62" t="s">
        <v>71</v>
      </c>
      <c r="F62" s="2">
        <v>200000</v>
      </c>
      <c r="G62" t="s">
        <v>89</v>
      </c>
      <c r="H62" s="1"/>
      <c r="K62">
        <v>100</v>
      </c>
      <c r="M62" s="6">
        <f>F62*K62</f>
        <v>20000000</v>
      </c>
      <c r="O62" s="11">
        <f t="shared" si="3"/>
        <v>260000000</v>
      </c>
      <c r="Q62" s="11"/>
    </row>
    <row r="63" spans="1:19">
      <c r="B63" t="s">
        <v>65</v>
      </c>
      <c r="F63" s="2">
        <v>1100000</v>
      </c>
      <c r="G63" t="s">
        <v>88</v>
      </c>
      <c r="H63" s="1"/>
      <c r="K63">
        <v>200</v>
      </c>
      <c r="M63" s="6">
        <f>F63*K63</f>
        <v>220000000</v>
      </c>
      <c r="O63" s="11">
        <f t="shared" si="3"/>
        <v>2860000000</v>
      </c>
      <c r="Q63" s="11"/>
    </row>
    <row r="64" spans="1:19" ht="18.75">
      <c r="F64" s="2">
        <f>SUM(F55:F63)</f>
        <v>26900000</v>
      </c>
      <c r="M64" s="15">
        <f>SUM(M55:M63)</f>
        <v>2096000000</v>
      </c>
      <c r="O64" s="21">
        <f>SUM(O55:O63)</f>
        <v>27248000000</v>
      </c>
      <c r="Q64" s="11" t="s">
        <v>101</v>
      </c>
      <c r="S64" s="16"/>
    </row>
    <row r="65" spans="1:17">
      <c r="F65" s="2"/>
      <c r="M65" s="15"/>
      <c r="O65" s="11"/>
      <c r="Q65" s="11"/>
    </row>
    <row r="66" spans="1:17">
      <c r="F66" s="2"/>
      <c r="M66" s="15"/>
      <c r="O66" s="11"/>
      <c r="Q66" s="11"/>
    </row>
    <row r="67" spans="1:17" ht="18.75">
      <c r="A67" t="s">
        <v>95</v>
      </c>
      <c r="F67" s="2"/>
      <c r="M67" s="15"/>
      <c r="O67" s="21">
        <f>O32+O48+O64</f>
        <v>62840000000</v>
      </c>
      <c r="Q67" s="11"/>
    </row>
    <row r="68" spans="1:17">
      <c r="F68" s="2"/>
      <c r="M68" s="15"/>
      <c r="O68" s="11"/>
      <c r="Q68" s="11"/>
    </row>
    <row r="69" spans="1:17">
      <c r="F69" s="2"/>
      <c r="M69" s="15"/>
      <c r="O69" s="11"/>
      <c r="Q69" s="11"/>
    </row>
    <row r="70" spans="1:17">
      <c r="F70" s="2"/>
    </row>
    <row r="71" spans="1:17">
      <c r="B71" t="s">
        <v>13</v>
      </c>
      <c r="E71" s="13" t="s">
        <v>19</v>
      </c>
      <c r="F71" s="6">
        <v>1660</v>
      </c>
      <c r="G71" t="s">
        <v>14</v>
      </c>
      <c r="K71" t="s">
        <v>20</v>
      </c>
    </row>
    <row r="72" spans="1:17">
      <c r="B72" t="s">
        <v>15</v>
      </c>
      <c r="F72" s="6">
        <v>11000000</v>
      </c>
      <c r="G72" t="s">
        <v>16</v>
      </c>
    </row>
    <row r="73" spans="1:17">
      <c r="B73" t="s">
        <v>17</v>
      </c>
      <c r="D73" s="7">
        <v>0.6</v>
      </c>
      <c r="F73" s="6">
        <v>6600000</v>
      </c>
      <c r="M73" s="6">
        <f>F71*F73</f>
        <v>10956000000</v>
      </c>
    </row>
    <row r="74" spans="1:17">
      <c r="B74" t="s">
        <v>18</v>
      </c>
      <c r="D74" s="7">
        <v>0.4</v>
      </c>
      <c r="F74" s="6">
        <v>4400000</v>
      </c>
      <c r="H74" t="s">
        <v>21</v>
      </c>
      <c r="M74" s="6">
        <f>(F71*F74)/4</f>
        <v>1826000000</v>
      </c>
    </row>
    <row r="75" spans="1:17">
      <c r="F75" s="3"/>
      <c r="M75" s="15">
        <f>SUM(M73:M74)</f>
        <v>12782000000</v>
      </c>
      <c r="O75" s="11">
        <f>M75*4</f>
        <v>51128000000</v>
      </c>
      <c r="Q75" s="11">
        <f>M75*13</f>
        <v>166166000000</v>
      </c>
    </row>
    <row r="76" spans="1:17">
      <c r="B76" t="s">
        <v>28</v>
      </c>
      <c r="E76" s="4">
        <v>5.0999999999999997E-2</v>
      </c>
      <c r="F76" s="6">
        <f>F8*5.1%</f>
        <v>1305600</v>
      </c>
    </row>
    <row r="77" spans="1:17">
      <c r="B77" s="5"/>
    </row>
    <row r="78" spans="1:17">
      <c r="B78" t="s">
        <v>25</v>
      </c>
      <c r="E78" s="7">
        <v>0.45</v>
      </c>
      <c r="F78" s="6">
        <f>F8*45%</f>
        <v>11520000</v>
      </c>
      <c r="H78" t="s">
        <v>29</v>
      </c>
    </row>
    <row r="79" spans="1:17">
      <c r="B79" s="5" t="s">
        <v>32</v>
      </c>
      <c r="G79" t="s">
        <v>33</v>
      </c>
      <c r="J79" s="13" t="s">
        <v>19</v>
      </c>
      <c r="K79" s="2">
        <v>190000000000</v>
      </c>
    </row>
    <row r="80" spans="1:17">
      <c r="B80" s="5"/>
    </row>
    <row r="81" spans="2:11">
      <c r="B81" s="5"/>
    </row>
    <row r="82" spans="2:11">
      <c r="B82" s="5" t="s">
        <v>111</v>
      </c>
      <c r="C82" t="s">
        <v>6</v>
      </c>
      <c r="F82">
        <v>25464116</v>
      </c>
    </row>
    <row r="83" spans="2:11">
      <c r="B83" t="s">
        <v>4</v>
      </c>
      <c r="C83">
        <v>0</v>
      </c>
      <c r="D83">
        <v>4</v>
      </c>
      <c r="F83">
        <v>1567492</v>
      </c>
    </row>
    <row r="84" spans="2:11">
      <c r="C84">
        <v>5</v>
      </c>
      <c r="D84">
        <v>9</v>
      </c>
      <c r="F84">
        <v>1621307</v>
      </c>
    </row>
    <row r="85" spans="2:11">
      <c r="C85">
        <v>10</v>
      </c>
      <c r="D85">
        <v>14</v>
      </c>
      <c r="F85">
        <v>1566175</v>
      </c>
    </row>
    <row r="86" spans="2:11">
      <c r="C86">
        <v>15</v>
      </c>
      <c r="F86">
        <v>291353</v>
      </c>
      <c r="H86" t="s">
        <v>7</v>
      </c>
      <c r="I86" s="9">
        <f>(F87/F82)</f>
        <v>0.19817405010250502</v>
      </c>
      <c r="J86" s="8" t="s">
        <v>8</v>
      </c>
      <c r="K86" s="12"/>
    </row>
    <row r="87" spans="2:11">
      <c r="F87" s="16">
        <f>SUM(F83:F86)</f>
        <v>5046327</v>
      </c>
      <c r="I87" s="10"/>
      <c r="J87" s="8"/>
    </row>
    <row r="88" spans="2:11">
      <c r="I88" s="10"/>
      <c r="J88" s="8"/>
    </row>
    <row r="89" spans="2:11">
      <c r="I89" s="10"/>
      <c r="J89" s="8"/>
    </row>
    <row r="90" spans="2:11">
      <c r="C90">
        <v>16</v>
      </c>
      <c r="F90">
        <v>290126</v>
      </c>
      <c r="I90" s="10"/>
      <c r="J90" s="8"/>
    </row>
    <row r="91" spans="2:11">
      <c r="C91">
        <v>17</v>
      </c>
      <c r="F91">
        <v>291721</v>
      </c>
      <c r="I91" s="10"/>
      <c r="J91" s="8"/>
    </row>
    <row r="92" spans="2:11">
      <c r="C92">
        <v>18</v>
      </c>
      <c r="F92">
        <v>307290</v>
      </c>
      <c r="I92" s="10"/>
      <c r="J92" s="8"/>
    </row>
    <row r="93" spans="2:11">
      <c r="C93">
        <v>19</v>
      </c>
      <c r="F93" s="6">
        <v>325018</v>
      </c>
      <c r="I93" s="10"/>
      <c r="J93" s="8"/>
    </row>
    <row r="94" spans="2:11">
      <c r="C94">
        <v>20</v>
      </c>
      <c r="D94">
        <v>24</v>
      </c>
      <c r="F94" s="6">
        <v>1766497</v>
      </c>
      <c r="I94" s="10"/>
      <c r="J94" s="8"/>
    </row>
    <row r="95" spans="2:11">
      <c r="C95">
        <v>25</v>
      </c>
      <c r="D95">
        <v>29</v>
      </c>
      <c r="F95" s="6">
        <v>1914707</v>
      </c>
      <c r="I95" s="10"/>
      <c r="J95" s="8"/>
    </row>
    <row r="96" spans="2:11">
      <c r="C96">
        <v>30</v>
      </c>
      <c r="D96">
        <v>34</v>
      </c>
      <c r="F96" s="6">
        <v>1901174</v>
      </c>
      <c r="I96" s="10"/>
      <c r="J96" s="8"/>
    </row>
    <row r="97" spans="1:10">
      <c r="C97">
        <v>35</v>
      </c>
      <c r="D97">
        <v>39</v>
      </c>
      <c r="F97" s="6">
        <v>1794441</v>
      </c>
      <c r="I97" s="10"/>
      <c r="J97" s="8"/>
    </row>
    <row r="98" spans="1:10">
      <c r="C98">
        <v>40</v>
      </c>
      <c r="D98">
        <v>44</v>
      </c>
      <c r="F98" s="6">
        <v>1601383</v>
      </c>
      <c r="I98" s="10"/>
      <c r="J98" s="8"/>
    </row>
    <row r="99" spans="1:10">
      <c r="C99">
        <v>45</v>
      </c>
      <c r="D99">
        <v>49</v>
      </c>
      <c r="F99" s="6">
        <v>1676713</v>
      </c>
      <c r="I99" s="10"/>
      <c r="J99" s="8"/>
    </row>
    <row r="100" spans="1:10">
      <c r="C100">
        <v>50</v>
      </c>
      <c r="D100">
        <v>54</v>
      </c>
      <c r="F100" s="6">
        <v>1540880</v>
      </c>
      <c r="I100" s="10"/>
      <c r="J100" s="8"/>
    </row>
    <row r="101" spans="1:10">
      <c r="C101">
        <v>55</v>
      </c>
      <c r="D101">
        <v>59</v>
      </c>
      <c r="F101" s="6">
        <v>1544650</v>
      </c>
      <c r="H101" t="s">
        <v>7</v>
      </c>
      <c r="I101" s="9">
        <f>(F108/F82)</f>
        <v>0.80182594989749501</v>
      </c>
      <c r="J101" s="8" t="s">
        <v>9</v>
      </c>
    </row>
    <row r="102" spans="1:10">
      <c r="C102">
        <v>60</v>
      </c>
      <c r="D102">
        <v>64</v>
      </c>
      <c r="F102" s="6">
        <v>1396019</v>
      </c>
    </row>
    <row r="103" spans="1:10">
      <c r="C103">
        <v>65</v>
      </c>
      <c r="D103">
        <v>69</v>
      </c>
      <c r="F103" s="6">
        <v>1229116</v>
      </c>
    </row>
    <row r="104" spans="1:10">
      <c r="C104">
        <v>70</v>
      </c>
      <c r="D104">
        <v>74</v>
      </c>
      <c r="F104" s="6">
        <v>1067369</v>
      </c>
    </row>
    <row r="105" spans="1:10">
      <c r="C105">
        <v>75</v>
      </c>
      <c r="D105">
        <v>79</v>
      </c>
      <c r="F105" s="6">
        <v>741837</v>
      </c>
    </row>
    <row r="106" spans="1:10">
      <c r="C106">
        <v>80</v>
      </c>
      <c r="D106">
        <v>84</v>
      </c>
      <c r="F106" s="6">
        <v>510245</v>
      </c>
    </row>
    <row r="107" spans="1:10">
      <c r="C107">
        <v>85</v>
      </c>
      <c r="D107" t="s">
        <v>5</v>
      </c>
      <c r="F107" s="6">
        <v>518603</v>
      </c>
    </row>
    <row r="108" spans="1:10">
      <c r="F108" s="17">
        <f>SUM(F90:F107)</f>
        <v>20417789</v>
      </c>
    </row>
    <row r="112" spans="1:10">
      <c r="A112" t="s">
        <v>112</v>
      </c>
    </row>
    <row r="113" spans="1:11">
      <c r="A113" s="5">
        <v>43800</v>
      </c>
      <c r="F113" s="1" t="s">
        <v>58</v>
      </c>
      <c r="K113" t="s">
        <v>61</v>
      </c>
    </row>
    <row r="114" spans="1:11">
      <c r="A114" t="s">
        <v>35</v>
      </c>
      <c r="F114" s="1" t="s">
        <v>55</v>
      </c>
      <c r="G114" s="1" t="s">
        <v>56</v>
      </c>
      <c r="H114" s="1"/>
    </row>
    <row r="115" spans="1:11">
      <c r="G115" t="s">
        <v>57</v>
      </c>
      <c r="I115" t="s">
        <v>60</v>
      </c>
    </row>
    <row r="116" spans="1:11">
      <c r="A116" t="s">
        <v>36</v>
      </c>
      <c r="F116">
        <v>237</v>
      </c>
      <c r="G116" s="14">
        <f t="shared" ref="G116:G130" si="4">F116*1.0809</f>
        <v>256.17329999999998</v>
      </c>
      <c r="I116" s="14">
        <f>G116/2</f>
        <v>128.08664999999999</v>
      </c>
      <c r="K116">
        <v>128</v>
      </c>
    </row>
    <row r="117" spans="1:11">
      <c r="A117" t="s">
        <v>37</v>
      </c>
      <c r="F117">
        <v>45</v>
      </c>
      <c r="G117" s="14">
        <f t="shared" si="4"/>
        <v>48.640499999999996</v>
      </c>
      <c r="I117" s="14">
        <f t="shared" ref="I117:I130" si="5">G117/2</f>
        <v>24.320249999999998</v>
      </c>
      <c r="K117">
        <v>24</v>
      </c>
    </row>
    <row r="118" spans="1:11">
      <c r="A118" t="s">
        <v>38</v>
      </c>
      <c r="F118">
        <v>44</v>
      </c>
      <c r="G118" s="14">
        <f t="shared" si="4"/>
        <v>47.559599999999996</v>
      </c>
      <c r="I118" s="14">
        <f t="shared" si="5"/>
        <v>23.779799999999998</v>
      </c>
      <c r="J118" s="10" t="s">
        <v>62</v>
      </c>
    </row>
    <row r="119" spans="1:11">
      <c r="A119" t="s">
        <v>39</v>
      </c>
      <c r="F119">
        <v>279</v>
      </c>
      <c r="G119" s="14">
        <f t="shared" si="4"/>
        <v>301.5711</v>
      </c>
      <c r="I119" s="14">
        <f t="shared" si="5"/>
        <v>150.78555</v>
      </c>
      <c r="J119" s="10" t="s">
        <v>63</v>
      </c>
    </row>
    <row r="120" spans="1:11">
      <c r="B120" t="s">
        <v>47</v>
      </c>
      <c r="F120">
        <v>41</v>
      </c>
      <c r="G120" s="14">
        <f t="shared" si="4"/>
        <v>44.316899999999997</v>
      </c>
      <c r="I120" s="14">
        <f t="shared" si="5"/>
        <v>22.158449999999998</v>
      </c>
      <c r="J120" s="10" t="s">
        <v>63</v>
      </c>
    </row>
    <row r="121" spans="1:11">
      <c r="B121" t="s">
        <v>49</v>
      </c>
      <c r="F121">
        <v>29</v>
      </c>
      <c r="G121" s="14">
        <f t="shared" si="4"/>
        <v>31.3461</v>
      </c>
      <c r="I121" s="14">
        <f t="shared" si="5"/>
        <v>15.67305</v>
      </c>
      <c r="K121">
        <v>20</v>
      </c>
    </row>
    <row r="122" spans="1:11">
      <c r="A122" t="s">
        <v>40</v>
      </c>
      <c r="F122">
        <v>58</v>
      </c>
      <c r="G122" s="14">
        <f t="shared" si="4"/>
        <v>62.6922</v>
      </c>
      <c r="I122" s="14">
        <f t="shared" si="5"/>
        <v>31.3461</v>
      </c>
      <c r="J122" s="10" t="s">
        <v>62</v>
      </c>
    </row>
    <row r="123" spans="1:11">
      <c r="B123" t="s">
        <v>48</v>
      </c>
      <c r="F123">
        <v>45</v>
      </c>
      <c r="G123" s="14">
        <f t="shared" si="4"/>
        <v>48.640499999999996</v>
      </c>
      <c r="I123" s="14">
        <f t="shared" si="5"/>
        <v>24.320249999999998</v>
      </c>
      <c r="K123">
        <v>20</v>
      </c>
    </row>
    <row r="124" spans="1:11">
      <c r="A124" t="s">
        <v>41</v>
      </c>
      <c r="F124">
        <v>82</v>
      </c>
      <c r="G124" s="14">
        <f t="shared" si="4"/>
        <v>88.633799999999994</v>
      </c>
      <c r="I124" s="14">
        <f t="shared" si="5"/>
        <v>44.316899999999997</v>
      </c>
      <c r="J124" s="10" t="s">
        <v>63</v>
      </c>
    </row>
    <row r="125" spans="1:11">
      <c r="A125" t="s">
        <v>42</v>
      </c>
      <c r="F125">
        <v>207</v>
      </c>
      <c r="G125" s="14">
        <f t="shared" si="4"/>
        <v>223.74629999999999</v>
      </c>
      <c r="I125" s="14">
        <f t="shared" si="5"/>
        <v>111.87315</v>
      </c>
      <c r="K125">
        <v>20</v>
      </c>
    </row>
    <row r="126" spans="1:11">
      <c r="A126" t="s">
        <v>43</v>
      </c>
      <c r="F126">
        <v>47</v>
      </c>
      <c r="G126" s="14">
        <f t="shared" si="4"/>
        <v>50.802299999999995</v>
      </c>
      <c r="I126" s="14">
        <f t="shared" si="5"/>
        <v>25.401149999999998</v>
      </c>
      <c r="J126" s="10" t="s">
        <v>63</v>
      </c>
    </row>
    <row r="127" spans="1:11">
      <c r="A127" t="s">
        <v>44</v>
      </c>
      <c r="F127">
        <v>172</v>
      </c>
      <c r="G127" s="14">
        <f t="shared" si="4"/>
        <v>185.91479999999999</v>
      </c>
      <c r="I127" s="14">
        <f t="shared" si="5"/>
        <v>92.957399999999993</v>
      </c>
      <c r="J127" s="10"/>
      <c r="K127">
        <v>20</v>
      </c>
    </row>
    <row r="128" spans="1:11">
      <c r="A128" t="s">
        <v>45</v>
      </c>
      <c r="F128">
        <v>44</v>
      </c>
      <c r="G128" s="14">
        <f t="shared" si="4"/>
        <v>47.559599999999996</v>
      </c>
      <c r="I128" s="14">
        <f t="shared" si="5"/>
        <v>23.779799999999998</v>
      </c>
      <c r="J128" s="10" t="s">
        <v>62</v>
      </c>
    </row>
    <row r="129" spans="1:12">
      <c r="A129" t="s">
        <v>50</v>
      </c>
      <c r="F129">
        <v>97</v>
      </c>
      <c r="G129" s="14">
        <f t="shared" si="4"/>
        <v>104.8473</v>
      </c>
      <c r="I129" s="14">
        <f t="shared" si="5"/>
        <v>52.423650000000002</v>
      </c>
      <c r="K129">
        <v>20</v>
      </c>
    </row>
    <row r="130" spans="1:12">
      <c r="F130" s="16">
        <f>SUM(F116:F129)</f>
        <v>1427</v>
      </c>
      <c r="G130" s="18">
        <f t="shared" si="4"/>
        <v>1542.4442999999999</v>
      </c>
      <c r="H130" s="16"/>
      <c r="I130" s="18">
        <f t="shared" si="5"/>
        <v>771.22214999999994</v>
      </c>
    </row>
    <row r="132" spans="1:12">
      <c r="A132" t="s">
        <v>46</v>
      </c>
      <c r="E132" t="s">
        <v>59</v>
      </c>
    </row>
    <row r="134" spans="1:12">
      <c r="A134" t="s">
        <v>51</v>
      </c>
      <c r="F134">
        <v>383</v>
      </c>
      <c r="G134" s="14">
        <f t="shared" ref="G134:G137" si="6">F134*1.0809</f>
        <v>413.98469999999998</v>
      </c>
      <c r="I134" s="14">
        <f t="shared" ref="I134:I137" si="7">G134/2</f>
        <v>206.99234999999999</v>
      </c>
      <c r="J134" s="10" t="s">
        <v>62</v>
      </c>
    </row>
    <row r="135" spans="1:12">
      <c r="A135" t="s">
        <v>52</v>
      </c>
      <c r="F135">
        <v>71</v>
      </c>
      <c r="G135" s="14">
        <f t="shared" si="6"/>
        <v>76.743899999999996</v>
      </c>
      <c r="I135" s="14">
        <f t="shared" si="7"/>
        <v>38.371949999999998</v>
      </c>
      <c r="J135" s="10" t="s">
        <v>62</v>
      </c>
    </row>
    <row r="136" spans="1:12">
      <c r="A136" t="s">
        <v>53</v>
      </c>
      <c r="F136">
        <v>124</v>
      </c>
      <c r="G136" s="14">
        <f t="shared" si="6"/>
        <v>134.0316</v>
      </c>
      <c r="I136" s="14">
        <f t="shared" si="7"/>
        <v>67.015799999999999</v>
      </c>
      <c r="J136" s="10" t="s">
        <v>62</v>
      </c>
    </row>
    <row r="137" spans="1:12">
      <c r="A137" t="s">
        <v>54</v>
      </c>
      <c r="F137">
        <v>77</v>
      </c>
      <c r="G137" s="14">
        <f t="shared" si="6"/>
        <v>83.229299999999995</v>
      </c>
      <c r="I137" s="14">
        <f t="shared" si="7"/>
        <v>41.614649999999997</v>
      </c>
      <c r="J137" s="10" t="s">
        <v>62</v>
      </c>
    </row>
    <row r="138" spans="1:12" ht="18.75">
      <c r="K138" s="19">
        <f>SUM(K116:K137)</f>
        <v>252</v>
      </c>
      <c r="L138" t="s">
        <v>64</v>
      </c>
    </row>
    <row r="143" spans="1:12">
      <c r="B143" t="s">
        <v>66</v>
      </c>
    </row>
    <row r="144" spans="1:12">
      <c r="B144" t="s">
        <v>67</v>
      </c>
      <c r="C144" t="s">
        <v>68</v>
      </c>
      <c r="F144">
        <v>80000000</v>
      </c>
      <c r="K144" s="6">
        <f>F144*F146*F148</f>
        <v>6400000000</v>
      </c>
    </row>
    <row r="146" spans="2:6">
      <c r="B146" t="s">
        <v>69</v>
      </c>
      <c r="C146">
        <v>400</v>
      </c>
      <c r="F146">
        <v>400</v>
      </c>
    </row>
    <row r="148" spans="2:6">
      <c r="B148" t="s">
        <v>70</v>
      </c>
      <c r="C148" s="1" t="s">
        <v>8</v>
      </c>
      <c r="F148">
        <v>0.2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2020-04-05T22:59:41Z</dcterms:modified>
</cp:coreProperties>
</file>